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rgen/ownCloud/JUVE Consulting/"/>
    </mc:Choice>
  </mc:AlternateContent>
  <xr:revisionPtr revIDLastSave="0" documentId="8_{3E63E10A-5902-1D48-9065-7B4C7AFEAD5D}" xr6:coauthVersionLast="45" xr6:coauthVersionMax="45" xr10:uidLastSave="{00000000-0000-0000-0000-000000000000}"/>
  <bookViews>
    <workbookView xWindow="0" yWindow="460" windowWidth="51200" windowHeight="28340" xr2:uid="{90B1020A-CE21-9E4D-AEB7-04586DDFABD9}"/>
  </bookViews>
  <sheets>
    <sheet name="Autokost" sheetId="2" r:id="rId1"/>
    <sheet name="Parameter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G31" i="2" s="1"/>
  <c r="F16" i="2"/>
  <c r="F31" i="2" s="1"/>
  <c r="G32" i="2"/>
  <c r="F32" i="2"/>
  <c r="C18" i="2"/>
  <c r="B18" i="2"/>
  <c r="B19" i="2"/>
  <c r="C19" i="2"/>
  <c r="C20" i="2" l="1"/>
  <c r="G23" i="2" s="1"/>
  <c r="B20" i="2"/>
  <c r="F23" i="2" s="1"/>
  <c r="G6" i="2"/>
  <c r="G34" i="2" l="1"/>
  <c r="G35" i="2" s="1"/>
  <c r="G33" i="2"/>
  <c r="F34" i="2"/>
  <c r="F35" i="2" s="1"/>
  <c r="F33" i="2"/>
  <c r="G36" i="2" l="1"/>
  <c r="C30" i="2" s="1"/>
  <c r="F36" i="2"/>
  <c r="B30" i="2" s="1"/>
  <c r="G28" i="2"/>
  <c r="C31" i="2" s="1"/>
  <c r="F28" i="2"/>
  <c r="B31" i="2" s="1"/>
  <c r="G9" i="2"/>
  <c r="G10" i="2" s="1"/>
  <c r="G7" i="2"/>
  <c r="G25" i="2"/>
  <c r="C28" i="2" s="1"/>
  <c r="F25" i="2"/>
  <c r="B28" i="2" s="1"/>
  <c r="G8" i="2"/>
  <c r="G11" i="2"/>
  <c r="G24" i="2"/>
  <c r="C29" i="2" s="1"/>
  <c r="F24" i="2"/>
  <c r="B29" i="2" s="1"/>
  <c r="F11" i="2"/>
  <c r="F9" i="2"/>
  <c r="F10" i="2" s="1"/>
  <c r="F8" i="2"/>
  <c r="F6" i="2"/>
  <c r="F7" i="2" s="1"/>
  <c r="G13" i="2" l="1"/>
  <c r="G19" i="2" s="1"/>
  <c r="F13" i="2"/>
  <c r="F19" i="2" s="1"/>
  <c r="G12" i="2"/>
  <c r="C24" i="2" s="1"/>
  <c r="F12" i="2"/>
  <c r="B24" i="2" s="1"/>
  <c r="G17" i="2"/>
  <c r="G18" i="2" s="1"/>
  <c r="C25" i="2" s="1"/>
  <c r="F17" i="2"/>
  <c r="F18" i="2" s="1"/>
  <c r="B25" i="2" s="1"/>
  <c r="B26" i="2" l="1"/>
  <c r="F20" i="2"/>
  <c r="B27" i="2" s="1"/>
  <c r="C26" i="2"/>
  <c r="G20" i="2"/>
  <c r="C27" i="2" s="1"/>
  <c r="B32" i="2" l="1"/>
  <c r="C32" i="2"/>
</calcChain>
</file>

<file path=xl/sharedStrings.xml><?xml version="1.0" encoding="utf-8"?>
<sst xmlns="http://schemas.openxmlformats.org/spreadsheetml/2006/main" count="78" uniqueCount="55">
  <si>
    <t>Verkeersbelasting</t>
  </si>
  <si>
    <t>Verzekering</t>
  </si>
  <si>
    <t>Onderhoud</t>
  </si>
  <si>
    <t>Auto 1</t>
  </si>
  <si>
    <t>Auto 2</t>
  </si>
  <si>
    <t>Catalogusprijs</t>
  </si>
  <si>
    <t>Renting</t>
  </si>
  <si>
    <t>BTW renting</t>
  </si>
  <si>
    <t>Onderhoud BTW</t>
  </si>
  <si>
    <t>VAA</t>
  </si>
  <si>
    <t>Bedrijfsvoorheffing</t>
  </si>
  <si>
    <t>Aftrekbaarheid</t>
  </si>
  <si>
    <t>CO2</t>
  </si>
  <si>
    <t>Brandstof</t>
  </si>
  <si>
    <t>Diesel</t>
  </si>
  <si>
    <t>Benzine</t>
  </si>
  <si>
    <t>Vennootschapsbelasting</t>
  </si>
  <si>
    <t>Totaal</t>
  </si>
  <si>
    <t>Verworpen uitgaven</t>
  </si>
  <si>
    <t>Verworpen BTW</t>
  </si>
  <si>
    <t>Jaarlijkse kost aan facturen</t>
  </si>
  <si>
    <t>Belasting op uitgave</t>
  </si>
  <si>
    <t>Factuurkost ex BTW</t>
  </si>
  <si>
    <t>Totaal ex BTW</t>
  </si>
  <si>
    <t>Vennootschapsbelasting VAA</t>
  </si>
  <si>
    <t>Bedrijfsvoorheffing loon VAA</t>
  </si>
  <si>
    <t>Vennootschapsbelasting verworpen uitgave</t>
  </si>
  <si>
    <t>Parameters</t>
  </si>
  <si>
    <t>Renting per maand ex BTW</t>
  </si>
  <si>
    <t>Onderhoud/jaar ex BTW</t>
  </si>
  <si>
    <t>Totaal BTW</t>
  </si>
  <si>
    <t>Sociale bijdrage</t>
  </si>
  <si>
    <t>Sociale bijdrage op VAA (22%)</t>
  </si>
  <si>
    <t>Verbruik</t>
  </si>
  <si>
    <t>Belasting op verworpen uitgave</t>
  </si>
  <si>
    <t>Totale kost</t>
  </si>
  <si>
    <t>Belasting op verworpen BTW</t>
  </si>
  <si>
    <t>Vennootschapsbelasting op verworpen BTW</t>
  </si>
  <si>
    <t>Brandstof coëfficiënt</t>
  </si>
  <si>
    <t>Leeftijd</t>
  </si>
  <si>
    <t>Referentie CO2</t>
  </si>
  <si>
    <t>Elektrisch</t>
  </si>
  <si>
    <t>Minimum VAA</t>
  </si>
  <si>
    <t>VAA parameters</t>
  </si>
  <si>
    <t>Coëfficiënt</t>
  </si>
  <si>
    <t>CO2 coëfficiënt</t>
  </si>
  <si>
    <t>Leeftijdscoëfficiënt</t>
  </si>
  <si>
    <t>Leeftijd in jaar</t>
  </si>
  <si>
    <t>Voordeel Alle Aard</t>
  </si>
  <si>
    <t>Factuurkost</t>
  </si>
  <si>
    <t>Brandstofkost/jaar ex BTW</t>
  </si>
  <si>
    <t>Detail</t>
  </si>
  <si>
    <t>Samenvatting</t>
  </si>
  <si>
    <t>Aftrekbaarheid parameters</t>
  </si>
  <si>
    <t>Total cost of Ownership (jaar)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</si>
</sst>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44" fontId="0" fillId="0" borderId="0" xfId="1" applyFont="1"/>
    <xf numFmtId="0" fontId="0" fillId="0" borderId="4" xfId="0" applyBorder="1"/>
    <xf numFmtId="44" fontId="0" fillId="0" borderId="5" xfId="1" applyFont="1" applyBorder="1"/>
    <xf numFmtId="0" fontId="2" fillId="0" borderId="4" xfId="0" applyFont="1" applyBorder="1"/>
    <xf numFmtId="44" fontId="2" fillId="0" borderId="0" xfId="1" applyFont="1" applyBorder="1"/>
    <xf numFmtId="44" fontId="2" fillId="0" borderId="5" xfId="1" applyFont="1" applyBorder="1"/>
    <xf numFmtId="44" fontId="0" fillId="0" borderId="7" xfId="1" applyFont="1" applyBorder="1"/>
    <xf numFmtId="0" fontId="2" fillId="0" borderId="6" xfId="0" applyFont="1" applyBorder="1"/>
    <xf numFmtId="44" fontId="2" fillId="0" borderId="7" xfId="1" applyFont="1" applyBorder="1"/>
    <xf numFmtId="0" fontId="2" fillId="0" borderId="2" xfId="0" applyFont="1" applyBorder="1"/>
    <xf numFmtId="44" fontId="2" fillId="0" borderId="3" xfId="1" applyFont="1" applyBorder="1"/>
    <xf numFmtId="44" fontId="0" fillId="0" borderId="3" xfId="1" applyFont="1" applyBorder="1"/>
    <xf numFmtId="10" fontId="0" fillId="0" borderId="3" xfId="2" applyNumberFormat="1" applyFont="1" applyBorder="1"/>
    <xf numFmtId="44" fontId="0" fillId="0" borderId="10" xfId="1" applyFont="1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44" fontId="2" fillId="0" borderId="8" xfId="1" applyFont="1" applyBorder="1"/>
    <xf numFmtId="44" fontId="2" fillId="0" borderId="10" xfId="1" applyFont="1" applyBorder="1"/>
    <xf numFmtId="0" fontId="2" fillId="0" borderId="0" xfId="0" applyFont="1" applyBorder="1"/>
    <xf numFmtId="44" fontId="0" fillId="0" borderId="5" xfId="0" applyNumberFormat="1" applyBorder="1"/>
    <xf numFmtId="0" fontId="2" fillId="0" borderId="8" xfId="0" applyFont="1" applyBorder="1"/>
    <xf numFmtId="164" fontId="0" fillId="0" borderId="0" xfId="2" applyNumberFormat="1" applyFont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9" fontId="0" fillId="0" borderId="14" xfId="2" applyFont="1" applyBorder="1"/>
    <xf numFmtId="9" fontId="0" fillId="0" borderId="16" xfId="2" applyFont="1" applyBorder="1"/>
    <xf numFmtId="9" fontId="0" fillId="0" borderId="18" xfId="2" applyFont="1" applyBorder="1"/>
    <xf numFmtId="0" fontId="0" fillId="0" borderId="8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0" fontId="2" fillId="0" borderId="10" xfId="0" applyFont="1" applyBorder="1"/>
    <xf numFmtId="0" fontId="0" fillId="0" borderId="24" xfId="0" applyBorder="1"/>
    <xf numFmtId="0" fontId="2" fillId="0" borderId="11" xfId="0" applyFont="1" applyBorder="1"/>
    <xf numFmtId="0" fontId="2" fillId="0" borderId="24" xfId="0" applyFont="1" applyBorder="1"/>
    <xf numFmtId="0" fontId="2" fillId="0" borderId="12" xfId="0" applyFont="1" applyBorder="1"/>
    <xf numFmtId="44" fontId="0" fillId="0" borderId="11" xfId="1" applyFont="1" applyBorder="1"/>
    <xf numFmtId="44" fontId="0" fillId="0" borderId="24" xfId="1" applyFont="1" applyBorder="1"/>
    <xf numFmtId="44" fontId="0" fillId="0" borderId="12" xfId="1" applyFont="1" applyBorder="1"/>
    <xf numFmtId="0" fontId="0" fillId="0" borderId="25" xfId="0" applyBorder="1"/>
    <xf numFmtId="0" fontId="0" fillId="0" borderId="26" xfId="0" applyBorder="1"/>
    <xf numFmtId="0" fontId="2" fillId="0" borderId="27" xfId="0" applyFont="1" applyBorder="1"/>
    <xf numFmtId="164" fontId="0" fillId="0" borderId="23" xfId="2" applyNumberFormat="1" applyFont="1" applyBorder="1"/>
    <xf numFmtId="9" fontId="0" fillId="0" borderId="28" xfId="2" applyFont="1" applyBorder="1"/>
    <xf numFmtId="164" fontId="0" fillId="0" borderId="30" xfId="2" applyNumberFormat="1" applyFont="1" applyBorder="1"/>
    <xf numFmtId="9" fontId="0" fillId="0" borderId="31" xfId="2" applyFont="1" applyBorder="1"/>
    <xf numFmtId="44" fontId="2" fillId="0" borderId="32" xfId="1" applyFont="1" applyBorder="1"/>
    <xf numFmtId="44" fontId="2" fillId="0" borderId="11" xfId="1" applyFont="1" applyBorder="1"/>
    <xf numFmtId="44" fontId="2" fillId="0" borderId="12" xfId="1" applyFont="1" applyBorder="1"/>
    <xf numFmtId="9" fontId="0" fillId="0" borderId="11" xfId="2" applyNumberFormat="1" applyFont="1" applyBorder="1"/>
    <xf numFmtId="44" fontId="2" fillId="0" borderId="24" xfId="1" applyFont="1" applyBorder="1"/>
    <xf numFmtId="0" fontId="0" fillId="0" borderId="33" xfId="0" applyBorder="1"/>
    <xf numFmtId="0" fontId="0" fillId="0" borderId="27" xfId="0" applyBorder="1"/>
    <xf numFmtId="0" fontId="0" fillId="0" borderId="30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8" xfId="0" applyBorder="1" applyProtection="1">
      <protection locked="0"/>
    </xf>
    <xf numFmtId="44" fontId="0" fillId="0" borderId="31" xfId="1" applyFont="1" applyBorder="1" applyProtection="1">
      <protection locked="0"/>
    </xf>
    <xf numFmtId="44" fontId="0" fillId="0" borderId="28" xfId="1" applyFont="1" applyBorder="1" applyProtection="1">
      <protection locked="0"/>
    </xf>
    <xf numFmtId="44" fontId="0" fillId="0" borderId="35" xfId="1" applyFont="1" applyBorder="1" applyProtection="1">
      <protection locked="0"/>
    </xf>
    <xf numFmtId="44" fontId="0" fillId="0" borderId="34" xfId="1" applyFont="1" applyBorder="1" applyProtection="1">
      <protection locked="0"/>
    </xf>
    <xf numFmtId="44" fontId="0" fillId="0" borderId="32" xfId="1" applyFont="1" applyBorder="1" applyProtection="1">
      <protection locked="0"/>
    </xf>
    <xf numFmtId="44" fontId="0" fillId="0" borderId="29" xfId="1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85F9-E6AF-B849-854B-6E782670C1D0}">
  <dimension ref="A1:V60"/>
  <sheetViews>
    <sheetView tabSelected="1" topLeftCell="A2" zoomScaleNormal="100" workbookViewId="0">
      <selection activeCell="A8" sqref="A8"/>
    </sheetView>
  </sheetViews>
  <sheetFormatPr baseColWidth="10" defaultRowHeight="16" x14ac:dyDescent="0.2"/>
  <cols>
    <col min="1" max="1" width="38.83203125" bestFit="1" customWidth="1"/>
    <col min="2" max="2" width="12" style="1" bestFit="1" customWidth="1"/>
    <col min="3" max="3" width="13" bestFit="1" customWidth="1"/>
    <col min="5" max="5" width="38" bestFit="1" customWidth="1"/>
    <col min="6" max="7" width="12" bestFit="1" customWidth="1"/>
    <col min="9" max="9" width="38" bestFit="1" customWidth="1"/>
    <col min="10" max="10" width="12" bestFit="1" customWidth="1"/>
    <col min="11" max="11" width="13" bestFit="1" customWidth="1"/>
    <col min="13" max="13" width="16.83203125" bestFit="1" customWidth="1"/>
    <col min="15" max="15" width="16.83203125" bestFit="1" customWidth="1"/>
  </cols>
  <sheetData>
    <row r="1" spans="1:7" ht="22" thickBot="1" x14ac:dyDescent="0.3">
      <c r="A1" s="80" t="s">
        <v>52</v>
      </c>
      <c r="B1" s="81"/>
      <c r="C1" s="82"/>
      <c r="E1" s="80" t="s">
        <v>51</v>
      </c>
      <c r="F1" s="81"/>
      <c r="G1" s="82"/>
    </row>
    <row r="2" spans="1:7" ht="17" thickBot="1" x14ac:dyDescent="0.25"/>
    <row r="3" spans="1:7" ht="17" thickBot="1" x14ac:dyDescent="0.25">
      <c r="A3" s="74" t="s">
        <v>27</v>
      </c>
      <c r="B3" s="75"/>
      <c r="C3" s="76"/>
      <c r="E3" s="71" t="s">
        <v>49</v>
      </c>
      <c r="F3" s="72"/>
      <c r="G3" s="73"/>
    </row>
    <row r="4" spans="1:7" ht="17" thickBot="1" x14ac:dyDescent="0.25">
      <c r="A4" s="32"/>
      <c r="B4" s="15" t="s">
        <v>3</v>
      </c>
      <c r="C4" s="15" t="s">
        <v>4</v>
      </c>
      <c r="E4" s="34"/>
      <c r="F4" s="35" t="s">
        <v>3</v>
      </c>
      <c r="G4" s="36" t="s">
        <v>4</v>
      </c>
    </row>
    <row r="5" spans="1:7" ht="17" thickBot="1" x14ac:dyDescent="0.25">
      <c r="A5" s="44" t="s">
        <v>13</v>
      </c>
      <c r="B5" s="58" t="s">
        <v>15</v>
      </c>
      <c r="C5" s="59" t="s">
        <v>15</v>
      </c>
      <c r="E5" s="71" t="s">
        <v>20</v>
      </c>
      <c r="F5" s="72"/>
      <c r="G5" s="73"/>
    </row>
    <row r="6" spans="1:7" x14ac:dyDescent="0.2">
      <c r="A6" s="45" t="s">
        <v>12</v>
      </c>
      <c r="B6" s="60">
        <v>0</v>
      </c>
      <c r="C6" s="61">
        <v>0</v>
      </c>
      <c r="E6" s="2" t="s">
        <v>6</v>
      </c>
      <c r="F6" s="41">
        <f>Autokost!B9*12</f>
        <v>0</v>
      </c>
      <c r="G6" s="12">
        <f>Autokost!C9*12</f>
        <v>0</v>
      </c>
    </row>
    <row r="7" spans="1:7" x14ac:dyDescent="0.2">
      <c r="A7" s="45" t="s">
        <v>5</v>
      </c>
      <c r="B7" s="62">
        <v>0</v>
      </c>
      <c r="C7" s="63">
        <v>0</v>
      </c>
      <c r="E7" s="2" t="s">
        <v>7</v>
      </c>
      <c r="F7" s="42">
        <f>F6*0.21</f>
        <v>0</v>
      </c>
      <c r="G7" s="3">
        <f>G6*0.21</f>
        <v>0</v>
      </c>
    </row>
    <row r="8" spans="1:7" x14ac:dyDescent="0.2">
      <c r="A8" s="45" t="s">
        <v>47</v>
      </c>
      <c r="B8" s="60">
        <v>0</v>
      </c>
      <c r="C8" s="61">
        <v>0</v>
      </c>
      <c r="E8" s="2" t="s">
        <v>1</v>
      </c>
      <c r="F8" s="42">
        <f>Autokost!B11</f>
        <v>0</v>
      </c>
      <c r="G8" s="3">
        <f>Autokost!C11</f>
        <v>0</v>
      </c>
    </row>
    <row r="9" spans="1:7" x14ac:dyDescent="0.2">
      <c r="A9" s="45" t="s">
        <v>28</v>
      </c>
      <c r="B9" s="62">
        <v>0</v>
      </c>
      <c r="C9" s="63">
        <v>0</v>
      </c>
      <c r="E9" s="2" t="s">
        <v>2</v>
      </c>
      <c r="F9" s="42">
        <f>Autokost!B13</f>
        <v>0</v>
      </c>
      <c r="G9" s="3">
        <f>Autokost!C13</f>
        <v>0</v>
      </c>
    </row>
    <row r="10" spans="1:7" x14ac:dyDescent="0.2">
      <c r="A10" s="45" t="s">
        <v>0</v>
      </c>
      <c r="B10" s="62">
        <v>0</v>
      </c>
      <c r="C10" s="63">
        <v>0</v>
      </c>
      <c r="E10" s="2" t="s">
        <v>8</v>
      </c>
      <c r="F10" s="42">
        <f>F9*0.21</f>
        <v>0</v>
      </c>
      <c r="G10" s="3">
        <f>G9*0.21</f>
        <v>0</v>
      </c>
    </row>
    <row r="11" spans="1:7" ht="17" thickBot="1" x14ac:dyDescent="0.25">
      <c r="A11" s="45" t="s">
        <v>1</v>
      </c>
      <c r="B11" s="62">
        <v>0</v>
      </c>
      <c r="C11" s="63">
        <v>0</v>
      </c>
      <c r="E11" s="2" t="s">
        <v>0</v>
      </c>
      <c r="F11" s="43">
        <f>Autokost!B10</f>
        <v>0</v>
      </c>
      <c r="G11" s="7">
        <f>Autokost!C10</f>
        <v>0</v>
      </c>
    </row>
    <row r="12" spans="1:7" x14ac:dyDescent="0.2">
      <c r="A12" s="56" t="s">
        <v>50</v>
      </c>
      <c r="B12" s="64">
        <v>0</v>
      </c>
      <c r="C12" s="65">
        <v>0</v>
      </c>
      <c r="E12" s="10" t="s">
        <v>23</v>
      </c>
      <c r="F12" s="52">
        <f>SUM(F6,F8,F9,F11)</f>
        <v>0</v>
      </c>
      <c r="G12" s="11">
        <f>SUM(G6,G8,G9,G11)</f>
        <v>0</v>
      </c>
    </row>
    <row r="13" spans="1:7" ht="17" thickBot="1" x14ac:dyDescent="0.25">
      <c r="A13" s="57" t="s">
        <v>29</v>
      </c>
      <c r="B13" s="66">
        <v>0</v>
      </c>
      <c r="C13" s="67">
        <v>0</v>
      </c>
      <c r="E13" s="8" t="s">
        <v>30</v>
      </c>
      <c r="F13" s="53">
        <f>F7+F10</f>
        <v>0</v>
      </c>
      <c r="G13" s="9">
        <f>G7+G10</f>
        <v>0</v>
      </c>
    </row>
    <row r="14" spans="1:7" ht="17" thickBot="1" x14ac:dyDescent="0.25">
      <c r="F14" s="1"/>
      <c r="G14" s="1"/>
    </row>
    <row r="15" spans="1:7" ht="17" thickBot="1" x14ac:dyDescent="0.25">
      <c r="E15" s="68" t="s">
        <v>18</v>
      </c>
      <c r="F15" s="69"/>
      <c r="G15" s="70"/>
    </row>
    <row r="16" spans="1:7" ht="17" thickBot="1" x14ac:dyDescent="0.25">
      <c r="A16" s="77" t="s">
        <v>48</v>
      </c>
      <c r="B16" s="78"/>
      <c r="C16" s="79"/>
      <c r="E16" s="16" t="s">
        <v>11</v>
      </c>
      <c r="F16" s="54">
        <f>IF(B5="Elektrisch",1,IF(B6&gt;200,0.4,IF(1.2-(0.5*VLOOKUP(B5,Parameters!$E$6:$F$7,2,)*B6/100)&lt;0.5,0.5,IF(1.2-(0.5*VLOOKUP(B5,Parameters!$E$6:$F$7,2,)*B6/100)&gt;1,1,(1.2-(0.5*VLOOKUP(B5,Parameters!$E$6:$F$7,2,)*B6/100))))))</f>
        <v>1</v>
      </c>
      <c r="G16" s="54">
        <f>IF(C5="Elektrisch",1,IF(C6&gt;200,0.4,IF(1.2-(0.5*VLOOKUP(C5,Parameters!$E$6:$F$7,2,)*C6/100)&lt;0.5,0.5,IF(1.2-(0.5*VLOOKUP(C5,Parameters!$E$6:$F$7,2,)*C6/100)&gt;1,1,(1.2-(0.5*VLOOKUP(C5,Parameters!$E$6:$F$7,2,)*C6/100))))))</f>
        <v>1</v>
      </c>
    </row>
    <row r="17" spans="1:7" ht="17" thickBot="1" x14ac:dyDescent="0.25">
      <c r="A17" s="15"/>
      <c r="B17" s="15" t="s">
        <v>3</v>
      </c>
      <c r="C17" s="15" t="s">
        <v>4</v>
      </c>
      <c r="E17" s="17" t="s">
        <v>18</v>
      </c>
      <c r="F17" s="43">
        <f>(F6+F8+F9+F11)*(1-F16)</f>
        <v>0</v>
      </c>
      <c r="G17" s="7">
        <f>(G6+G8+G9+G11)*(1-G16)</f>
        <v>0</v>
      </c>
    </row>
    <row r="18" spans="1:7" x14ac:dyDescent="0.2">
      <c r="A18" s="44" t="s">
        <v>45</v>
      </c>
      <c r="B18" s="49">
        <f>IF(B5="Elektrisch",0.04,(IF(Parameters!$C$6+((B6-VLOOKUP(B5,Parameters!$B$21:$C$22,2,FALSE))/1000)&gt;=0.04,Parameters!$C$6+((B6-VLOOKUP(B5,Parameters!$B$21:$C$22,2,FALSE))/1000),0.04)))</f>
        <v>0.04</v>
      </c>
      <c r="C18" s="47">
        <f>IF(C5="Elektrisch",0.04,(IF(Parameters!$C$6+((C6-VLOOKUP(C5,Parameters!$B$21:$C$22,2,FALSE))/1000)&gt;=0.04,Parameters!$C$6+((C6-VLOOKUP(C5,Parameters!$B$21:$C$22,2,FALSE))/1000),0.04)))</f>
        <v>0.04</v>
      </c>
      <c r="E18" s="39" t="s">
        <v>21</v>
      </c>
      <c r="F18" s="55">
        <f>F17*0.2</f>
        <v>0</v>
      </c>
      <c r="G18" s="6">
        <f>G17*0.2</f>
        <v>0</v>
      </c>
    </row>
    <row r="19" spans="1:7" x14ac:dyDescent="0.2">
      <c r="A19" s="45" t="s">
        <v>46</v>
      </c>
      <c r="B19" s="50">
        <f>IF(B8&lt;6,VLOOKUP(B8,Parameters!$B$11:$C$16,2,FALSE),0.7)</f>
        <v>1</v>
      </c>
      <c r="C19" s="48">
        <f>VLOOKUP(C8,Parameters!$B$11:$C$16,2,FALSE)</f>
        <v>1</v>
      </c>
      <c r="E19" s="39" t="s">
        <v>19</v>
      </c>
      <c r="F19" s="55">
        <f>F13/2</f>
        <v>0</v>
      </c>
      <c r="G19" s="6">
        <f>G13/2</f>
        <v>0</v>
      </c>
    </row>
    <row r="20" spans="1:7" ht="17" thickBot="1" x14ac:dyDescent="0.25">
      <c r="A20" s="46" t="s">
        <v>9</v>
      </c>
      <c r="B20" s="51">
        <f>IF(B7*6/7*B18*B19&lt;Parameters!$C$5,Parameters!$C$5,B7*6/7*B18*B19)</f>
        <v>1340</v>
      </c>
      <c r="C20" s="51">
        <f>IF(C7*6/7*C18*C19&lt;Parameters!$C$5,Parameters!$C$5,C7*6/7*C18*C19)</f>
        <v>1340</v>
      </c>
      <c r="E20" s="40" t="s">
        <v>36</v>
      </c>
      <c r="F20" s="53">
        <f>F19*(1-F16)*0.2</f>
        <v>0</v>
      </c>
      <c r="G20" s="9">
        <f>G19*(1-G16)*0.2</f>
        <v>0</v>
      </c>
    </row>
    <row r="21" spans="1:7" ht="17" thickBot="1" x14ac:dyDescent="0.25">
      <c r="E21" s="20"/>
      <c r="F21" s="5"/>
      <c r="G21" s="5"/>
    </row>
    <row r="22" spans="1:7" ht="17" thickBot="1" x14ac:dyDescent="0.25">
      <c r="E22" s="68" t="s">
        <v>9</v>
      </c>
      <c r="F22" s="69"/>
      <c r="G22" s="70"/>
    </row>
    <row r="23" spans="1:7" ht="17" thickBot="1" x14ac:dyDescent="0.25">
      <c r="A23" s="71" t="s">
        <v>54</v>
      </c>
      <c r="B23" s="72"/>
      <c r="C23" s="73"/>
      <c r="E23" s="15" t="s">
        <v>9</v>
      </c>
      <c r="F23" s="33">
        <f>B20</f>
        <v>1340</v>
      </c>
      <c r="G23" s="14">
        <f>C20</f>
        <v>1340</v>
      </c>
    </row>
    <row r="24" spans="1:7" x14ac:dyDescent="0.2">
      <c r="A24" s="2" t="s">
        <v>22</v>
      </c>
      <c r="B24" s="41">
        <f>F12</f>
        <v>0</v>
      </c>
      <c r="C24" s="12">
        <f>G12</f>
        <v>0</v>
      </c>
      <c r="E24" s="4" t="s">
        <v>10</v>
      </c>
      <c r="F24" s="55">
        <f>F23*0.535</f>
        <v>716.90000000000009</v>
      </c>
      <c r="G24" s="6">
        <f>G23*0.535</f>
        <v>716.90000000000009</v>
      </c>
    </row>
    <row r="25" spans="1:7" ht="17" thickBot="1" x14ac:dyDescent="0.25">
      <c r="A25" s="2" t="s">
        <v>26</v>
      </c>
      <c r="B25" s="42">
        <f t="shared" ref="B25:C27" si="0">F18</f>
        <v>0</v>
      </c>
      <c r="C25" s="3">
        <f t="shared" si="0"/>
        <v>0</v>
      </c>
      <c r="E25" s="8" t="s">
        <v>16</v>
      </c>
      <c r="F25" s="53">
        <f>F23*0.4*0.2</f>
        <v>107.2</v>
      </c>
      <c r="G25" s="9">
        <f>G23*0.4*0.2</f>
        <v>107.2</v>
      </c>
    </row>
    <row r="26" spans="1:7" ht="17" thickBot="1" x14ac:dyDescent="0.25">
      <c r="A26" s="2" t="s">
        <v>19</v>
      </c>
      <c r="B26" s="42">
        <f t="shared" si="0"/>
        <v>0</v>
      </c>
      <c r="C26" s="3">
        <f t="shared" si="0"/>
        <v>0</v>
      </c>
      <c r="E26" s="20"/>
      <c r="F26" s="5"/>
      <c r="G26" s="5"/>
    </row>
    <row r="27" spans="1:7" ht="17" thickBot="1" x14ac:dyDescent="0.25">
      <c r="A27" s="2" t="s">
        <v>37</v>
      </c>
      <c r="B27" s="42">
        <f t="shared" si="0"/>
        <v>0</v>
      </c>
      <c r="C27" s="3">
        <f t="shared" si="0"/>
        <v>0</v>
      </c>
      <c r="E27" s="71" t="s">
        <v>31</v>
      </c>
      <c r="F27" s="72"/>
      <c r="G27" s="73"/>
    </row>
    <row r="28" spans="1:7" ht="17" thickBot="1" x14ac:dyDescent="0.25">
      <c r="A28" s="2" t="s">
        <v>24</v>
      </c>
      <c r="B28" s="42">
        <f>F25</f>
        <v>107.2</v>
      </c>
      <c r="C28" s="3">
        <f>G25</f>
        <v>107.2</v>
      </c>
      <c r="E28" s="22" t="s">
        <v>32</v>
      </c>
      <c r="F28" s="18">
        <f>F23*0.22</f>
        <v>294.8</v>
      </c>
      <c r="G28" s="19">
        <f>G23*0.22</f>
        <v>294.8</v>
      </c>
    </row>
    <row r="29" spans="1:7" ht="17" thickBot="1" x14ac:dyDescent="0.25">
      <c r="A29" s="2" t="s">
        <v>25</v>
      </c>
      <c r="B29" s="42">
        <f>F24</f>
        <v>716.90000000000009</v>
      </c>
      <c r="C29" s="3">
        <f>G24</f>
        <v>716.90000000000009</v>
      </c>
      <c r="E29" s="20"/>
      <c r="F29" s="5"/>
      <c r="G29" s="5"/>
    </row>
    <row r="30" spans="1:7" ht="17" thickBot="1" x14ac:dyDescent="0.25">
      <c r="A30" s="2" t="s">
        <v>13</v>
      </c>
      <c r="B30" s="42">
        <f>F36</f>
        <v>0</v>
      </c>
      <c r="C30" s="3">
        <f>G36</f>
        <v>0</v>
      </c>
      <c r="E30" s="71" t="s">
        <v>13</v>
      </c>
      <c r="F30" s="72"/>
      <c r="G30" s="73"/>
    </row>
    <row r="31" spans="1:7" ht="17" thickBot="1" x14ac:dyDescent="0.25">
      <c r="A31" s="2" t="s">
        <v>31</v>
      </c>
      <c r="B31" s="42">
        <f>F28</f>
        <v>294.8</v>
      </c>
      <c r="C31" s="21">
        <f>G28</f>
        <v>294.8</v>
      </c>
      <c r="E31" s="16" t="s">
        <v>11</v>
      </c>
      <c r="F31" s="54">
        <f>F16</f>
        <v>1</v>
      </c>
      <c r="G31" s="13">
        <f>G16</f>
        <v>1</v>
      </c>
    </row>
    <row r="32" spans="1:7" ht="17" thickBot="1" x14ac:dyDescent="0.25">
      <c r="A32" s="34" t="s">
        <v>17</v>
      </c>
      <c r="B32" s="35">
        <f>SUM(B24:B31)</f>
        <v>1118.9000000000001</v>
      </c>
      <c r="C32" s="19">
        <f>SUM(C24:C31)</f>
        <v>1118.9000000000001</v>
      </c>
      <c r="E32" s="37" t="s">
        <v>33</v>
      </c>
      <c r="F32" s="42">
        <f>B12</f>
        <v>0</v>
      </c>
      <c r="G32" s="3">
        <f>C12</f>
        <v>0</v>
      </c>
    </row>
    <row r="33" spans="5:7" x14ac:dyDescent="0.2">
      <c r="E33" s="38" t="s">
        <v>34</v>
      </c>
      <c r="F33" s="52">
        <f>F32*(1-F31)*0.2</f>
        <v>0</v>
      </c>
      <c r="G33" s="11">
        <f>G32*(1-G31)*0.2</f>
        <v>0</v>
      </c>
    </row>
    <row r="34" spans="5:7" x14ac:dyDescent="0.2">
      <c r="E34" s="39" t="s">
        <v>19</v>
      </c>
      <c r="F34" s="55">
        <f>F32*0.21/2</f>
        <v>0</v>
      </c>
      <c r="G34" s="6">
        <f>G32*0.21/2</f>
        <v>0</v>
      </c>
    </row>
    <row r="35" spans="5:7" x14ac:dyDescent="0.2">
      <c r="E35" s="39" t="s">
        <v>36</v>
      </c>
      <c r="F35" s="55">
        <f>F34*(1-F31)*0.2</f>
        <v>0</v>
      </c>
      <c r="G35" s="6">
        <f>G34*(1-G31)*0.2</f>
        <v>0</v>
      </c>
    </row>
    <row r="36" spans="5:7" ht="17" thickBot="1" x14ac:dyDescent="0.25">
      <c r="E36" s="40" t="s">
        <v>35</v>
      </c>
      <c r="F36" s="53">
        <f>SUM(F32:F35)</f>
        <v>0</v>
      </c>
      <c r="G36" s="9">
        <f>SUM(G32:G35)</f>
        <v>0</v>
      </c>
    </row>
    <row r="43" spans="5:7" x14ac:dyDescent="0.2">
      <c r="F43" s="1"/>
    </row>
    <row r="58" spans="22:22" x14ac:dyDescent="0.2">
      <c r="V58" s="1"/>
    </row>
    <row r="59" spans="22:22" x14ac:dyDescent="0.2">
      <c r="V59" s="1"/>
    </row>
    <row r="60" spans="22:22" x14ac:dyDescent="0.2">
      <c r="V60" s="1"/>
    </row>
  </sheetData>
  <sheetProtection sheet="1" objects="1" scenarios="1"/>
  <mergeCells count="11">
    <mergeCell ref="E1:G1"/>
    <mergeCell ref="A1:C1"/>
    <mergeCell ref="E5:G5"/>
    <mergeCell ref="E15:G15"/>
    <mergeCell ref="E22:G22"/>
    <mergeCell ref="A23:C23"/>
    <mergeCell ref="A3:C3"/>
    <mergeCell ref="E27:G27"/>
    <mergeCell ref="E30:G30"/>
    <mergeCell ref="A16:C16"/>
    <mergeCell ref="E3:G3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3E982A-90B8-4B4A-AFDF-40728EA3CBA4}">
          <x14:formula1>
            <xm:f>Parameters!$M$3:$M$5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76094-F2D4-3D4A-93D7-BB75AF4A9793}">
  <dimension ref="B1:AB22"/>
  <sheetViews>
    <sheetView workbookViewId="0">
      <selection activeCell="H14" sqref="H14"/>
    </sheetView>
  </sheetViews>
  <sheetFormatPr baseColWidth="10" defaultRowHeight="16" x14ac:dyDescent="0.2"/>
  <cols>
    <col min="2" max="2" width="13.6640625" bestFit="1" customWidth="1"/>
    <col min="6" max="6" width="14.1640625" customWidth="1"/>
    <col min="8" max="8" width="18.33203125" bestFit="1" customWidth="1"/>
  </cols>
  <sheetData>
    <row r="1" spans="2:28" ht="17" thickBot="1" x14ac:dyDescent="0.25"/>
    <row r="2" spans="2:28" ht="17" thickBot="1" x14ac:dyDescent="0.25">
      <c r="B2" s="85" t="s">
        <v>43</v>
      </c>
      <c r="C2" s="85"/>
      <c r="E2" s="85" t="s">
        <v>53</v>
      </c>
      <c r="F2" s="85"/>
      <c r="M2" s="15" t="s">
        <v>13</v>
      </c>
    </row>
    <row r="3" spans="2:28" x14ac:dyDescent="0.2">
      <c r="M3" s="37" t="s">
        <v>14</v>
      </c>
    </row>
    <row r="4" spans="2:28" ht="17" thickBot="1" x14ac:dyDescent="0.25">
      <c r="M4" s="37" t="s">
        <v>15</v>
      </c>
    </row>
    <row r="5" spans="2:28" ht="17" thickBot="1" x14ac:dyDescent="0.25">
      <c r="B5" t="s">
        <v>42</v>
      </c>
      <c r="C5" s="1">
        <v>1340</v>
      </c>
      <c r="E5" s="83" t="s">
        <v>38</v>
      </c>
      <c r="F5" s="84"/>
      <c r="M5" s="17" t="s">
        <v>41</v>
      </c>
    </row>
    <row r="6" spans="2:28" x14ac:dyDescent="0.2">
      <c r="B6" t="s">
        <v>44</v>
      </c>
      <c r="C6" s="23">
        <v>5.5E-2</v>
      </c>
      <c r="E6" s="27" t="s">
        <v>14</v>
      </c>
      <c r="F6" s="28">
        <v>1</v>
      </c>
    </row>
    <row r="7" spans="2:28" ht="17" thickBot="1" x14ac:dyDescent="0.25">
      <c r="E7" s="25" t="s">
        <v>15</v>
      </c>
      <c r="F7" s="26">
        <v>0.95</v>
      </c>
    </row>
    <row r="9" spans="2:28" ht="17" thickBot="1" x14ac:dyDescent="0.25">
      <c r="AB9" s="23"/>
    </row>
    <row r="10" spans="2:28" ht="17" thickBot="1" x14ac:dyDescent="0.25">
      <c r="B10" s="74" t="s">
        <v>39</v>
      </c>
      <c r="C10" s="76"/>
    </row>
    <row r="11" spans="2:28" x14ac:dyDescent="0.2">
      <c r="B11" s="27">
        <v>0</v>
      </c>
      <c r="C11" s="31">
        <v>1</v>
      </c>
    </row>
    <row r="12" spans="2:28" x14ac:dyDescent="0.2">
      <c r="B12" s="24">
        <v>1</v>
      </c>
      <c r="C12" s="29">
        <v>0.94</v>
      </c>
    </row>
    <row r="13" spans="2:28" x14ac:dyDescent="0.2">
      <c r="B13" s="24">
        <v>2</v>
      </c>
      <c r="C13" s="29">
        <v>0.88</v>
      </c>
      <c r="AB13" s="23"/>
    </row>
    <row r="14" spans="2:28" x14ac:dyDescent="0.2">
      <c r="B14" s="24">
        <v>3</v>
      </c>
      <c r="C14" s="29">
        <v>0.82</v>
      </c>
    </row>
    <row r="15" spans="2:28" x14ac:dyDescent="0.2">
      <c r="B15" s="24">
        <v>4</v>
      </c>
      <c r="C15" s="29">
        <v>0.76</v>
      </c>
      <c r="AB15" s="23"/>
    </row>
    <row r="16" spans="2:28" ht="17" thickBot="1" x14ac:dyDescent="0.25">
      <c r="B16" s="25">
        <v>5</v>
      </c>
      <c r="C16" s="30">
        <v>0.7</v>
      </c>
    </row>
    <row r="19" spans="2:3" ht="17" thickBot="1" x14ac:dyDescent="0.25"/>
    <row r="20" spans="2:3" ht="17" thickBot="1" x14ac:dyDescent="0.25">
      <c r="B20" s="74" t="s">
        <v>40</v>
      </c>
      <c r="C20" s="76"/>
    </row>
    <row r="21" spans="2:3" x14ac:dyDescent="0.2">
      <c r="B21" s="27" t="s">
        <v>14</v>
      </c>
      <c r="C21" s="28">
        <v>88</v>
      </c>
    </row>
    <row r="22" spans="2:3" ht="17" thickBot="1" x14ac:dyDescent="0.25">
      <c r="B22" s="25" t="s">
        <v>15</v>
      </c>
      <c r="C22" s="26">
        <v>107</v>
      </c>
    </row>
  </sheetData>
  <sheetProtection sheet="1" objects="1" scenarios="1"/>
  <mergeCells count="5">
    <mergeCell ref="E5:F5"/>
    <mergeCell ref="E2:F2"/>
    <mergeCell ref="B10:C10"/>
    <mergeCell ref="B20:C20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Autokost</vt:lpstr>
      <vt:lpstr>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 Vermeulen</dc:creator>
  <cp:lastModifiedBy>Microsoft Office User</cp:lastModifiedBy>
  <dcterms:created xsi:type="dcterms:W3CDTF">2019-08-10T09:12:02Z</dcterms:created>
  <dcterms:modified xsi:type="dcterms:W3CDTF">2019-10-22T13:50:32Z</dcterms:modified>
</cp:coreProperties>
</file>